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<sst xmlns="http://schemas.openxmlformats.org/spreadsheetml/2006/main" count="838" uniqueCount="188">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</sst>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15" xfId="0" applyNumberFormat="1" applyFont="1" applyBorder="1" applyAlignment="1" quotePrefix="1">
      <alignment horizontal="right"/>
    </xf>
    <xf numFmtId="2" fontId="3" fillId="0" borderId="0" xfId="0" applyNumberFormat="1" applyFont="1" applyFill="1" applyAlignment="1">
      <alignment horizontal="center" vertical="center"/>
    </xf>
    <xf numFmtId="0" fontId="5" fillId="0" borderId="0" xfId="45" applyAlignment="1" applyProtection="1">
      <alignment/>
      <protection/>
    </xf>
    <xf numFmtId="0" fontId="7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25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13" xfId="0" applyNumberFormat="1" applyBorder="1" applyAlignment="1" quotePrefix="1">
      <alignment horizontal="center"/>
    </xf>
    <xf numFmtId="2" fontId="0" fillId="0" borderId="14" xfId="0" applyNumberFormat="1" applyBorder="1" applyAlignment="1" quotePrefix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 quotePrefix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2" fontId="2" fillId="0" borderId="16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0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16.31370849898476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106.72829994330449</c:v>
                </c:pt>
                <c:pt idx="3">
                  <c:v>100</c:v>
                </c:pt>
                <c:pt idx="4">
                  <c:v>123.75087713417992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14.936296084202041</c:v>
                </c:pt>
                <c:pt idx="3">
                  <c:v>5</c:v>
                </c:pt>
                <c:pt idx="4">
                  <c:v>-27.185335719191897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88.48445979709166</c:v>
                </c:pt>
                <c:pt idx="3">
                  <c:v>100</c:v>
                </c:pt>
                <c:pt idx="4">
                  <c:v>123.40244196540424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8.375253151276493</c:v>
                </c:pt>
                <c:pt idx="3">
                  <c:v>5</c:v>
                </c:pt>
                <c:pt idx="4">
                  <c:v>37.43957012748299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187.19785063741494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62476382"/>
        <c:axId val="25416527"/>
      </c:scatterChart>
      <c:valAx>
        <c:axId val="62476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416527"/>
        <c:crosses val="autoZero"/>
        <c:crossBetween val="midCat"/>
        <c:dispUnits/>
        <c:majorUnit val="5"/>
      </c:valAx>
      <c:valAx>
        <c:axId val="25416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47638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2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1"/>
          <c:h val="0.94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-53.57486491423121</c:v>
                </c:pt>
                <c:pt idx="1">
                  <c:v>-46.2215487892349</c:v>
                </c:pt>
                <c:pt idx="2">
                  <c:v>-39.12479320228244</c:v>
                </c:pt>
                <c:pt idx="3">
                  <c:v>-32.23891468088433</c:v>
                </c:pt>
                <c:pt idx="4">
                  <c:v>-25.531941896754038</c:v>
                </c:pt>
                <c:pt idx="5">
                  <c:v>-18.978182927074684</c:v>
                </c:pt>
                <c:pt idx="6">
                  <c:v>-12.554273264126094</c:v>
                </c:pt>
                <c:pt idx="7">
                  <c:v>-6.236719153222354</c:v>
                </c:pt>
                <c:pt idx="8">
                  <c:v>0</c:v>
                </c:pt>
                <c:pt idx="9">
                  <c:v>6.185347434081156</c:v>
                </c:pt>
                <c:pt idx="10">
                  <c:v>12.355196799018419</c:v>
                </c:pt>
                <c:pt idx="11">
                  <c:v>18.55560454567053</c:v>
                </c:pt>
                <c:pt idx="12">
                  <c:v>24.849298303205437</c:v>
                </c:pt>
                <c:pt idx="13">
                  <c:v>31.328047536700254</c:v>
                </c:pt>
                <c:pt idx="14">
                  <c:v>38.13924817103394</c:v>
                </c:pt>
                <c:pt idx="15">
                  <c:v>45.55355253278994</c:v>
                </c:pt>
                <c:pt idx="16">
                  <c:v>54.192697030105286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7422152"/>
        <c:axId val="45472777"/>
      </c:scatterChart>
      <c:valAx>
        <c:axId val="274221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 val="autoZero"/>
        <c:crossBetween val="midCat"/>
        <c:dispUnits/>
      </c:valAx>
      <c:valAx>
        <c:axId val="45472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6601810"/>
        <c:axId val="59416291"/>
      </c:scatterChart>
      <c:valAx>
        <c:axId val="6601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416291"/>
        <c:crosses val="autoZero"/>
        <c:crossBetween val="midCat"/>
        <c:dispUnits/>
        <c:majorUnit val="5"/>
      </c:valAx>
      <c:valAx>
        <c:axId val="59416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01810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2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1"/>
          <c:h val="0.95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4984572"/>
        <c:axId val="47990237"/>
      </c:scatterChart>
      <c:valAx>
        <c:axId val="649845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At val="0"/>
        <c:crossBetween val="midCat"/>
        <c:dispUnits/>
        <c:majorUnit val="10"/>
      </c:valAx>
      <c:valAx>
        <c:axId val="47990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29258950"/>
        <c:axId val="62003959"/>
      </c:scatterChart>
      <c:valAx>
        <c:axId val="29258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003959"/>
        <c:crosses val="autoZero"/>
        <c:crossBetween val="midCat"/>
        <c:dispUnits/>
        <c:majorUnit val="5"/>
      </c:valAx>
      <c:valAx>
        <c:axId val="620039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258950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2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1164720"/>
        <c:axId val="56264753"/>
      </c:scatterChart>
      <c:valAx>
        <c:axId val="21164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4753"/>
        <c:crossesAt val="0"/>
        <c:crossBetween val="midCat"/>
        <c:dispUnits/>
        <c:majorUnit val="10"/>
      </c:valAx>
      <c:valAx>
        <c:axId val="56264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 descr="Cinégouverne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 descr="Cinégouverne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 descr="Cinégouvernes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 descr="Débatteme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showGridLines="0" showRowColHeaders="0" tabSelected="1" zoomScale="75" zoomScaleNormal="75" zoomScalePageLayoutView="0" workbookViewId="0" topLeftCell="A1">
      <selection activeCell="D11" sqref="D11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 t="str">
        <f>IF(H8=1,"Dessus","")</f>
        <v>Dessus</v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1</v>
      </c>
      <c r="I8" s="45">
        <f>IF(H8=0,"Dessous","")</f>
      </c>
    </row>
    <row r="9" spans="2:5" ht="12.75" customHeight="1">
      <c r="B9" s="6" t="s">
        <v>2</v>
      </c>
      <c r="C9" s="20" t="s">
        <v>116</v>
      </c>
      <c r="D9" s="41">
        <v>12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98.03397484857004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54.192697030105286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-53.57486491423121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36.43905381273862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36.05453964850483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"/>
  <sheetViews>
    <sheetView showGridLines="0" showRowColHeaders="0" zoomScale="75" zoomScaleNormal="75" zoomScalePageLayoutView="0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">
    <mergeCell ref="B2:Q2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"/>
  <sheetViews>
    <sheetView showGridLines="0" showRowColHeaders="0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">
    <mergeCell ref="B2:Q2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P31"/>
  <sheetViews>
    <sheetView showGridLines="0" showRowColHeaders="0" zoomScale="85" zoomScaleNormal="85" zoomScalePageLayoutView="0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sheetProtection/>
  <hyperlinks>
    <hyperlink ref="C9" r:id="rId1" display="renaudiltis@yahoo.fr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7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16.31370849898476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16.31370849898476</v>
      </c>
      <c r="N8" s="7"/>
      <c r="O8" s="27"/>
      <c r="P8" s="26">
        <f>Tringle!$D$5+Tringle!$D$10</f>
        <v>96</v>
      </c>
      <c r="Q8" s="7">
        <f>Tringle!$D$6+$I$6*SQRT(Tringle!$D$9^2-Tringle!$D$10^2)</f>
        <v>16.31370849898476</v>
      </c>
      <c r="R8" s="7"/>
      <c r="S8" s="27"/>
      <c r="T8" s="26">
        <f>Tringle!$D$5+Tringle!$D$10</f>
        <v>96</v>
      </c>
      <c r="U8" s="7">
        <f>Tringle!$D$6+$I$6*SQRT(Tringle!$D$9^2-Tringle!$D$10^2)</f>
        <v>16.31370849898476</v>
      </c>
      <c r="V8" s="7"/>
      <c r="W8" s="27"/>
      <c r="X8" s="26">
        <f>Tringle!$D$5+Tringle!$D$10</f>
        <v>96</v>
      </c>
      <c r="Y8" s="7">
        <f>Tringle!$D$6+$I$6*SQRT(Tringle!$D$9^2-Tringle!$D$10^2)</f>
        <v>16.31370849898476</v>
      </c>
      <c r="Z8" s="7"/>
      <c r="AA8" s="27"/>
      <c r="AB8" s="26">
        <f>Tringle!$D$5+Tringle!$D$10</f>
        <v>96</v>
      </c>
      <c r="AC8" s="7">
        <f>Tringle!$D$6+$I$6*SQRT(Tringle!$D$9^2-Tringle!$D$10^2)</f>
        <v>16.31370849898476</v>
      </c>
      <c r="AD8" s="7"/>
      <c r="AE8" s="27"/>
      <c r="AF8" s="26">
        <f>Tringle!$D$5+Tringle!$D$10</f>
        <v>96</v>
      </c>
      <c r="AG8" s="7">
        <f>Tringle!$D$6+$I$6*SQRT(Tringle!$D$9^2-Tringle!$D$10^2)</f>
        <v>16.31370849898476</v>
      </c>
      <c r="AH8" s="7"/>
      <c r="AI8" s="27"/>
      <c r="AJ8" s="26">
        <f>Tringle!$D$5+Tringle!$D$10</f>
        <v>96</v>
      </c>
      <c r="AK8" s="7">
        <f>Tringle!$D$6+$I$6*SQRT(Tringle!$D$9^2-Tringle!$D$10^2)</f>
        <v>16.31370849898476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1.9106332362490184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1.9106332362490184</v>
      </c>
      <c r="M11" s="7"/>
      <c r="N11" s="7"/>
      <c r="O11" s="27"/>
      <c r="P11" s="26">
        <f>PI()/2-ASIN(Tringle!$D$10/Tringle!$D$9)-$I$6*RADIANS(Tringle!$D$12)</f>
        <v>1.9106332362490184</v>
      </c>
      <c r="Q11" s="7"/>
      <c r="R11" s="7"/>
      <c r="S11" s="27"/>
      <c r="T11" s="26">
        <f>PI()/2-ASIN(Tringle!$D$10/Tringle!$D$9)-$I$6*RADIANS(Tringle!$D$12)</f>
        <v>1.9106332362490184</v>
      </c>
      <c r="U11" s="7"/>
      <c r="V11" s="7"/>
      <c r="W11" s="27"/>
      <c r="X11" s="26">
        <f>PI()/2-ASIN(Tringle!$D$10/Tringle!$D$9)-$I$6*RADIANS(Tringle!$D$12)</f>
        <v>1.9106332362490184</v>
      </c>
      <c r="Y11" s="7"/>
      <c r="Z11" s="7"/>
      <c r="AA11" s="27"/>
      <c r="AB11" s="26">
        <f>PI()/2-ASIN(Tringle!$D$10/Tringle!$D$9)-$I$6*RADIANS(Tringle!$D$12)</f>
        <v>1.9106332362490184</v>
      </c>
      <c r="AC11" s="7"/>
      <c r="AD11" s="7"/>
      <c r="AE11" s="27"/>
      <c r="AF11" s="26">
        <f>PI()/2-ASIN(Tringle!$D$10/Tringle!$D$9)-$I$6*RADIANS(Tringle!$D$12)</f>
        <v>1.9106332362490184</v>
      </c>
      <c r="AG11" s="7"/>
      <c r="AH11" s="7"/>
      <c r="AI11" s="27"/>
      <c r="AJ11" s="26">
        <f>PI()/2-ASIN(Tringle!$D$10/Tringle!$D$9)-$I$6*RADIANS(Tringle!$D$12)</f>
        <v>1.9106332362490184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98.03397484857004</v>
      </c>
      <c r="E12" s="2"/>
      <c r="F12" s="2"/>
      <c r="G12" s="2"/>
      <c r="H12" s="2"/>
      <c r="I12" s="2"/>
      <c r="J12" s="2"/>
      <c r="K12" s="2"/>
      <c r="L12" s="26">
        <f>SQRT((L6-L8)^2+(M6-M8)^2)</f>
        <v>98.03397484857004</v>
      </c>
      <c r="M12" s="7"/>
      <c r="N12" s="7"/>
      <c r="O12" s="27"/>
      <c r="P12" s="26">
        <f>SQRT((P6-P8)^2+(Q6-Q8)^2)</f>
        <v>98.03397484857004</v>
      </c>
      <c r="Q12" s="7"/>
      <c r="R12" s="7"/>
      <c r="S12" s="27"/>
      <c r="T12" s="26">
        <f>SQRT((T6-T8)^2+(U6-U8)^2)</f>
        <v>98.03397484857004</v>
      </c>
      <c r="U12" s="7"/>
      <c r="V12" s="7"/>
      <c r="W12" s="27"/>
      <c r="X12" s="26">
        <f>SQRT((X6-X8)^2+(Y6-Y8)^2)</f>
        <v>98.03397484857004</v>
      </c>
      <c r="Y12" s="7"/>
      <c r="Z12" s="7"/>
      <c r="AA12" s="27"/>
      <c r="AB12" s="26">
        <f>SQRT((AB6-AB8)^2+(AC6-AC8)^2)</f>
        <v>98.03397484857004</v>
      </c>
      <c r="AC12" s="7"/>
      <c r="AD12" s="7"/>
      <c r="AE12" s="27"/>
      <c r="AF12" s="26">
        <f>SQRT((AF6-AF8)^2+(AG6-AG8)^2)</f>
        <v>98.03397484857004</v>
      </c>
      <c r="AG12" s="7"/>
      <c r="AH12" s="7"/>
      <c r="AI12" s="27"/>
      <c r="AJ12" s="26">
        <f>SQRT((AJ6-AJ8)^2+(AK6-AK8)^2)</f>
        <v>98.03397484857004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2.32698470626206</v>
      </c>
      <c r="F23" s="2"/>
      <c r="G23" s="2" t="s">
        <v>20</v>
      </c>
      <c r="H23" s="2"/>
      <c r="I23" s="2"/>
      <c r="J23" s="2">
        <f>ACOS((Tringle!$D$9^2+J21^2-D12^2)/(2*Tringle!$D$9*J21))</f>
        <v>0.4532506164062624</v>
      </c>
      <c r="K23" s="2"/>
      <c r="L23" s="26"/>
      <c r="M23" s="7">
        <f>ACOS((Tringle!$D$9^2+M21^2-L12^2)/(2*Tringle!$D$9*M21))</f>
        <v>2.2079118774430317</v>
      </c>
      <c r="N23" s="7"/>
      <c r="O23" s="27">
        <f>ACOS((Tringle!$D$9^2+O21^2-L12^2)/(2*Tringle!$D$9*O21))</f>
        <v>0.6111097481163759</v>
      </c>
      <c r="P23" s="26"/>
      <c r="Q23" s="7">
        <f>ACOS((Tringle!$D$9^2+Q21^2-P12^2)/(2*Tringle!$D$9*Q21))</f>
        <v>2.092105646901709</v>
      </c>
      <c r="R23" s="7"/>
      <c r="S23" s="27">
        <f>ACOS((Tringle!$D$9^2+S21^2-P12^2)/(2*Tringle!$D$9*S21))</f>
        <v>0.7468424691246969</v>
      </c>
      <c r="T23" s="26"/>
      <c r="U23" s="7">
        <f>ACOS((Tringle!$D$9^2+U21^2-T12^2)/(2*Tringle!$D$9*U21))</f>
        <v>1.9787332004615363</v>
      </c>
      <c r="V23" s="7"/>
      <c r="W23" s="27">
        <f>ACOS((Tringle!$D$9^2+W21^2-T12^2)/(2*Tringle!$D$9*W21))</f>
        <v>0.871237469797401</v>
      </c>
      <c r="X23" s="26"/>
      <c r="Y23" s="7">
        <f>ACOS((Tringle!$D$9^2+Y21^2-X12^2)/(2*Tringle!$D$9*Y21))</f>
        <v>1.8672188142260413</v>
      </c>
      <c r="Z23" s="7"/>
      <c r="AA23" s="27">
        <f>ACOS((Tringle!$D$9^2+AA21^2-X12^2)/(2*Tringle!$D$9*AA21))</f>
        <v>0.9889562420808532</v>
      </c>
      <c r="AB23" s="26"/>
      <c r="AC23" s="7">
        <f>ACOS((Tringle!$D$9^2+AC21^2-AB12^2)/(2*Tringle!$D$9*AC21))</f>
        <v>1.7571122916547761</v>
      </c>
      <c r="AD23" s="7"/>
      <c r="AE23" s="27">
        <f>ACOS((Tringle!$D$9^2+AE21^2-AB12^2)/(2*Tringle!$D$9*AE21))</f>
        <v>1.1025099939482599</v>
      </c>
      <c r="AF23" s="26"/>
      <c r="AG23" s="7">
        <f>ACOS((Tringle!$D$9^2+AG21^2-AF12^2)/(2*Tringle!$D$9*AG21))</f>
        <v>1.648017995781685</v>
      </c>
      <c r="AH23" s="7"/>
      <c r="AI23" s="27">
        <f>ACOS((Tringle!$D$9^2+AI21^2-AF12^2)/(2*Tringle!$D$9*AI21))</f>
        <v>1.2134407393909876</v>
      </c>
      <c r="AJ23" s="26"/>
      <c r="AK23" s="7">
        <f>ACOS((Tringle!$D$9^2+AK21^2-AJ12^2)/(2*Tringle!$D$9*AK21))</f>
        <v>1.5395499441134022</v>
      </c>
      <c r="AL23" s="7"/>
      <c r="AM23" s="27">
        <f>ACOS((Tringle!$D$9^2+AM21^2-AJ12^2)/(2*Tringle!$D$9*AM21))</f>
        <v>1.3227861842224142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0.9755754471844943</v>
      </c>
      <c r="F24" s="2"/>
      <c r="G24" s="2" t="s">
        <v>22</v>
      </c>
      <c r="H24" s="2"/>
      <c r="I24" s="2"/>
      <c r="J24" s="2">
        <f>$I$6*PI()-$I$6*J23-$I$5*J22</f>
        <v>2.8564742299601082</v>
      </c>
      <c r="K24" s="2"/>
      <c r="L24" s="26"/>
      <c r="M24" s="7">
        <f>$I$6*PI()-$I$6*M23-$I$5*M22</f>
        <v>1.1039150245056708</v>
      </c>
      <c r="N24" s="7"/>
      <c r="O24" s="27">
        <f>$I$6*PI()-$I$6*O23-$I$5*O22</f>
        <v>2.705692713926405</v>
      </c>
      <c r="P24" s="26"/>
      <c r="Q24" s="7">
        <f>$I$6*PI()-$I$6*Q23-$I$5*Q22</f>
        <v>1.227776775707294</v>
      </c>
      <c r="R24" s="7"/>
      <c r="S24" s="27">
        <f>$I$6*PI()-$I$6*S23-$I$5*S22</f>
        <v>2.576288691068786</v>
      </c>
      <c r="T24" s="26"/>
      <c r="U24" s="7">
        <f>$I$6*PI()-$I$6*U23-$I$5*U22</f>
        <v>1.3479580277980499</v>
      </c>
      <c r="V24" s="7"/>
      <c r="W24" s="27">
        <f>$I$6*PI()-$I$6*W23-$I$5*W22</f>
        <v>2.457410813985737</v>
      </c>
      <c r="X24" s="26"/>
      <c r="Y24" s="7">
        <f>$I$6*PI()-$I$6*Y23-$I$5*Y22</f>
        <v>1.4650167857227743</v>
      </c>
      <c r="Z24" s="7"/>
      <c r="AA24" s="27">
        <f>$I$6*PI()-$I$6*AA23-$I$5*AA22</f>
        <v>2.3443353084501934</v>
      </c>
      <c r="AB24" s="26"/>
      <c r="AC24" s="7">
        <f>$I$6*PI()-$I$6*AC23-$I$5*AC22</f>
        <v>1.5794014581257902</v>
      </c>
      <c r="AD24" s="7"/>
      <c r="AE24" s="27">
        <f>$I$6*PI()-$I$6*AE23-$I$5*AE22</f>
        <v>2.2344896302689956</v>
      </c>
      <c r="AF24" s="26"/>
      <c r="AG24" s="7">
        <f>$I$6*PI()-$I$6*AG23-$I$5*AG22</f>
        <v>1.6915198325949223</v>
      </c>
      <c r="AH24" s="7"/>
      <c r="AI24" s="27">
        <f>$I$6*PI()-$I$6*AI23-$I$5*AI22</f>
        <v>2.126272100123754</v>
      </c>
      <c r="AJ24" s="26"/>
      <c r="AK24" s="7">
        <f>$I$6*PI()-$I$6*AK23-$I$5*AK22</f>
        <v>1.8017819525030956</v>
      </c>
      <c r="AL24" s="7"/>
      <c r="AM24" s="27">
        <f>$I$6*PI()-$I$6*AM23-$I$5*AM22</f>
        <v>2.0185879143535175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106.72829994330449</v>
      </c>
      <c r="E26" s="2">
        <f>E7+Tringle!$D$9*SIN(E24)</f>
        <v>14.936296084202041</v>
      </c>
      <c r="F26" s="2"/>
      <c r="G26" s="2" t="s">
        <v>25</v>
      </c>
      <c r="H26" s="2"/>
      <c r="I26" s="2">
        <f>D7+Tringle!$D$9*COS(J24)</f>
        <v>88.48445979709166</v>
      </c>
      <c r="J26" s="2">
        <f>E7+Tringle!$D$9*SIN(J24)</f>
        <v>8.375253151276493</v>
      </c>
      <c r="K26" s="2"/>
      <c r="L26" s="26">
        <f>L7+Tringle!$D$9*COS(M24)</f>
        <v>105.40124266552549</v>
      </c>
      <c r="M26" s="7">
        <f>M7+Tringle!$D$9*SIN(M24)</f>
        <v>15.715716386136169</v>
      </c>
      <c r="N26" s="7">
        <f>L7+Tringle!$D$9*COS(O24)</f>
        <v>89.1221148258079</v>
      </c>
      <c r="O26" s="27">
        <f>M7+Tringle!$D$9*SIN(O24)</f>
        <v>10.066716307145255</v>
      </c>
      <c r="P26" s="26">
        <f>P7+Tringle!$D$9*COS(Q24)</f>
        <v>104.03598716051165</v>
      </c>
      <c r="Q26" s="7">
        <f>Q7+Tringle!$D$9*SIN(Q24)</f>
        <v>16.30092065453895</v>
      </c>
      <c r="R26" s="7">
        <f>P7+Tringle!$D$9*COS(S24)</f>
        <v>89.86689021918988</v>
      </c>
      <c r="S26" s="27">
        <f>Q7+Tringle!$D$9*SIN(S24)</f>
        <v>11.428070174636417</v>
      </c>
      <c r="T26" s="26">
        <f>T7+Tringle!$D$9*COS(U24)</f>
        <v>102.65198354909687</v>
      </c>
      <c r="U26" s="7">
        <f>U7+Tringle!$D$9*SIN(U24)</f>
        <v>16.703289420300585</v>
      </c>
      <c r="V26" s="7">
        <f>T7+Tringle!$D$9*COS(W24)</f>
        <v>90.70076300988391</v>
      </c>
      <c r="W26" s="27">
        <f>U7+Tringle!$D$9*SIN(W24)</f>
        <v>12.584470410098298</v>
      </c>
      <c r="X26" s="26">
        <f>X7+Tringle!$D$9*COS(Y24)</f>
        <v>101.26698861644937</v>
      </c>
      <c r="Y26" s="7">
        <f>Y7+Tringle!$D$9*SIN(Y24)</f>
        <v>16.93292670914339</v>
      </c>
      <c r="Z26" s="7">
        <f>X7+Tringle!$D$9*COS(AA24)</f>
        <v>91.61594143979926</v>
      </c>
      <c r="AA26" s="27">
        <f>Y7+Tringle!$D$9*SIN(AA24)</f>
        <v>13.585310830664469</v>
      </c>
      <c r="AB26" s="26">
        <f>AB7+Tringle!$D$9*COS(AC24)</f>
        <v>99.89673969841499</v>
      </c>
      <c r="AC26" s="7">
        <f>AC7+Tringle!$D$9*SIN(AC24)</f>
        <v>16.999555713030237</v>
      </c>
      <c r="AD26" s="7">
        <f>AB7+Tringle!$D$9*COS(AE24)</f>
        <v>92.60763586250945</v>
      </c>
      <c r="AE26" s="27">
        <f>AC7+Tringle!$D$9*SIN(AE24)</f>
        <v>14.45266906533513</v>
      </c>
      <c r="AF26" s="26">
        <f>AF7+Tringle!$D$9*COS(AG24)</f>
        <v>98.55483425559646</v>
      </c>
      <c r="AG26" s="7">
        <f>AG7+Tringle!$D$9*SIN(AG24)</f>
        <v>16.91266116244404</v>
      </c>
      <c r="AH26" s="7">
        <f>AF7+Tringle!$D$9*COS(AI24)</f>
        <v>93.6718287938776</v>
      </c>
      <c r="AI26" s="27">
        <f>AG7+Tringle!$D$9*SIN(AI24)</f>
        <v>15.195795662232708</v>
      </c>
      <c r="AJ26" s="26">
        <f>AJ7+Tringle!$D$9*COS(AK24)</f>
        <v>97.25275500070425</v>
      </c>
      <c r="AK26" s="7">
        <f>AK7+Tringle!$D$9*SIN(AK24)</f>
        <v>16.68129465914821</v>
      </c>
      <c r="AL26" s="7">
        <f>AJ7+Tringle!$D$9*COS(AM24)</f>
        <v>94.80428900245163</v>
      </c>
      <c r="AM26" s="27">
        <f>AK7+Tringle!$D$9*SIN(AM24)</f>
        <v>15.81686586909327</v>
      </c>
    </row>
    <row r="27" spans="1:39" ht="12.75">
      <c r="A27" s="2"/>
      <c r="B27" s="2" t="s">
        <v>37</v>
      </c>
      <c r="C27" s="2"/>
      <c r="D27" s="2">
        <f>E24-$I$6*D11</f>
        <v>-0.9350577890645241</v>
      </c>
      <c r="E27" s="2"/>
      <c r="F27" s="2"/>
      <c r="G27" s="2" t="s">
        <v>39</v>
      </c>
      <c r="H27" s="2"/>
      <c r="I27" s="2">
        <f>J24-$I$6*D11</f>
        <v>0.9458409937110899</v>
      </c>
      <c r="J27" s="2"/>
      <c r="K27" s="2"/>
      <c r="L27" s="26">
        <f>M24-$I$6*L11</f>
        <v>-0.8067182117433476</v>
      </c>
      <c r="M27" s="7"/>
      <c r="N27" s="7">
        <f>O24-$I$6*L11</f>
        <v>0.7950594776773867</v>
      </c>
      <c r="O27" s="27"/>
      <c r="P27" s="26">
        <f>Q24-$I$6*P11</f>
        <v>-0.6828564605417244</v>
      </c>
      <c r="Q27" s="7"/>
      <c r="R27" s="7">
        <f>S24-$I$6*P11</f>
        <v>0.6656554548197677</v>
      </c>
      <c r="S27" s="27"/>
      <c r="T27" s="26">
        <f>U24-$I$6*T11</f>
        <v>-0.5626752084509685</v>
      </c>
      <c r="U27" s="7"/>
      <c r="V27" s="7">
        <f>W24-$I$6*T11</f>
        <v>0.5467775777367185</v>
      </c>
      <c r="W27" s="27"/>
      <c r="X27" s="26">
        <f>Y24-$I$6*X11</f>
        <v>-0.4456164505262441</v>
      </c>
      <c r="Y27" s="7"/>
      <c r="Z27" s="7">
        <f>AA24-$I$6*X11</f>
        <v>0.43370207220117507</v>
      </c>
      <c r="AA27" s="27"/>
      <c r="AB27" s="26">
        <f>AC24-$I$6*AB11</f>
        <v>-0.3312317781232281</v>
      </c>
      <c r="AC27" s="7"/>
      <c r="AD27" s="7">
        <f>AE24-$I$6*AB11</f>
        <v>0.32385639401997723</v>
      </c>
      <c r="AE27" s="27"/>
      <c r="AF27" s="26">
        <f>AG24-$I$6*AF11</f>
        <v>-0.21911340365409604</v>
      </c>
      <c r="AG27" s="7"/>
      <c r="AH27" s="7">
        <f>AI24-$I$6*AF11</f>
        <v>0.21563886387473552</v>
      </c>
      <c r="AI27" s="27"/>
      <c r="AJ27" s="26">
        <f>AK24-$I$6*AJ11</f>
        <v>-0.10885128374592279</v>
      </c>
      <c r="AK27" s="7"/>
      <c r="AL27" s="7">
        <f>AM24-$I$6*AJ11</f>
        <v>0.1079546781044991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123.75087713417992</v>
      </c>
      <c r="E28" s="2">
        <f>E7+Tringle!$D$11*SIN(D27)</f>
        <v>-27.185335719191897</v>
      </c>
      <c r="F28" s="2"/>
      <c r="G28" s="2" t="s">
        <v>40</v>
      </c>
      <c r="H28" s="2"/>
      <c r="I28" s="2">
        <f>D7+Tringle!$D$11*COS(I27)</f>
        <v>123.40244196540424</v>
      </c>
      <c r="J28" s="2">
        <f>E7+Tringle!$D$11*SIN(I27)</f>
        <v>37.43957012748299</v>
      </c>
      <c r="K28" s="2"/>
      <c r="L28" s="26">
        <f>L7+Tringle!$D$11*COS(L27)</f>
        <v>127.67486691345476</v>
      </c>
      <c r="M28" s="7">
        <f>M7+Tringle!$D$11*SIN(L27)</f>
        <v>-23.88081960960539</v>
      </c>
      <c r="N28" s="7">
        <f>L7+Tringle!$D$11*COS(N27)</f>
        <v>128.00969223412844</v>
      </c>
      <c r="O28" s="27">
        <f>M7+Tringle!$D$11*SIN(N27)</f>
        <v>33.55621019934903</v>
      </c>
      <c r="P28" s="26">
        <f>P7+Tringle!$D$11*COS(P27)</f>
        <v>131.0309370593231</v>
      </c>
      <c r="Q28" s="7">
        <f>Q7+Tringle!$D$11*SIN(P27)</f>
        <v>-20.2404624605083</v>
      </c>
      <c r="R28" s="7">
        <f>P7+Tringle!$D$11*COS(R27)</f>
        <v>131.46048646947082</v>
      </c>
      <c r="S28" s="27">
        <f>Q7+Tringle!$D$11*SIN(R27)</f>
        <v>29.702991541597616</v>
      </c>
      <c r="T28" s="26">
        <f>T7+Tringle!$D$11*COS(T27)</f>
        <v>133.83324188448492</v>
      </c>
      <c r="U28" s="7">
        <f>U7+Tringle!$D$11*SIN(T27)</f>
        <v>-16.338035138829817</v>
      </c>
      <c r="V28" s="7">
        <f>T7+Tringle!$D$11*COS(V27)</f>
        <v>134.1681764720811</v>
      </c>
      <c r="W28" s="27">
        <f>U7+Tringle!$D$11*SIN(V27)</f>
        <v>25.79749303576575</v>
      </c>
      <c r="X28" s="26">
        <f>X7+Tringle!$D$11*COS(X27)</f>
        <v>136.09380551700008</v>
      </c>
      <c r="Y28" s="7">
        <f>Y7+Tringle!$D$11*SIN(X27)</f>
        <v>-12.240568531837155</v>
      </c>
      <c r="Z28" s="7">
        <f>X7+Tringle!$D$11*COS(Z27)</f>
        <v>136.29664954225484</v>
      </c>
      <c r="AA28" s="27">
        <f>Y7+Tringle!$D$11*SIN(Z27)</f>
        <v>21.809319796075343</v>
      </c>
      <c r="AB28" s="26">
        <f>AB7+Tringle!$D$11*COS(AB27)</f>
        <v>137.82569907246983</v>
      </c>
      <c r="AC28" s="7">
        <f>AC7+Tringle!$D$11*SIN(AB27)</f>
        <v>-8.008323861241927</v>
      </c>
      <c r="AD28" s="7">
        <f>AB7+Tringle!$D$11*COS(AD27)</f>
        <v>137.92061080348182</v>
      </c>
      <c r="AE28" s="27">
        <f>AC7+Tringle!$D$11*SIN(AD27)</f>
        <v>17.728993530160118</v>
      </c>
      <c r="AF28" s="26">
        <f>AF7+Tringle!$D$11*COS(AF27)</f>
        <v>139.04362189352304</v>
      </c>
      <c r="AG28" s="7">
        <f>AG7+Tringle!$D$11*SIN(AF27)</f>
        <v>-3.694572412465604</v>
      </c>
      <c r="AH28" s="7">
        <f>AF7+Tringle!$D$11*COS(AH27)</f>
        <v>139.0735957950566</v>
      </c>
      <c r="AI28" s="27">
        <f>AG7+Tringle!$D$11*SIN(AH27)</f>
        <v>13.558861585779692</v>
      </c>
      <c r="AJ28" s="26">
        <f>AJ7+Tringle!$D$11*COS(AJ27)</f>
        <v>139.76326185042595</v>
      </c>
      <c r="AK28" s="7">
        <f>AK7+Tringle!$D$11*SIN(AJ27)</f>
        <v>0.6545417946480097</v>
      </c>
      <c r="AL28" s="7">
        <f>AJ7+Tringle!$D$11*COS(AL27)</f>
        <v>139.76714202937006</v>
      </c>
      <c r="AM28" s="27">
        <f>AK7+Tringle!$D$11*SIN(AL27)</f>
        <v>9.30980449857182</v>
      </c>
    </row>
    <row r="29" spans="1:39" ht="12.75">
      <c r="A29" s="2"/>
      <c r="B29" s="2" t="s">
        <v>35</v>
      </c>
      <c r="C29" s="2"/>
      <c r="D29" s="2">
        <f>-Tringle!$D$12+DEGREES(D27)</f>
        <v>-53.57486491423121</v>
      </c>
      <c r="E29" s="2"/>
      <c r="F29" s="2"/>
      <c r="G29" s="2" t="s">
        <v>41</v>
      </c>
      <c r="H29" s="2"/>
      <c r="I29" s="2">
        <f>-Tringle!$D$12+DEGREES(I27)</f>
        <v>54.192697030105286</v>
      </c>
      <c r="J29" s="2"/>
      <c r="K29" s="2"/>
      <c r="L29" s="26">
        <f>-Tringle!$D$12+DEGREES(L27)</f>
        <v>-46.2215487892349</v>
      </c>
      <c r="M29" s="7"/>
      <c r="N29" s="7">
        <f>-Tringle!$D$12+DEGREES(N27)</f>
        <v>45.55355253278994</v>
      </c>
      <c r="O29" s="27"/>
      <c r="P29" s="26">
        <f>-Tringle!$D$12+DEGREES(P27)</f>
        <v>-39.12479320228244</v>
      </c>
      <c r="Q29" s="7"/>
      <c r="R29" s="7">
        <f>-Tringle!$D$12+DEGREES(R27)</f>
        <v>38.13924817103394</v>
      </c>
      <c r="S29" s="27"/>
      <c r="T29" s="26">
        <f>-Tringle!$D$12+DEGREES(T27)</f>
        <v>-32.23891468088433</v>
      </c>
      <c r="U29" s="7"/>
      <c r="V29" s="7">
        <f>-Tringle!$D$12+DEGREES(V27)</f>
        <v>31.328047536700254</v>
      </c>
      <c r="W29" s="27"/>
      <c r="X29" s="26">
        <f>-Tringle!$D$12+DEGREES(X27)</f>
        <v>-25.531941896754038</v>
      </c>
      <c r="Y29" s="7"/>
      <c r="Z29" s="7">
        <f>-Tringle!$D$12+DEGREES(Z27)</f>
        <v>24.849298303205437</v>
      </c>
      <c r="AA29" s="27"/>
      <c r="AB29" s="26">
        <f>-Tringle!$D$12+DEGREES(AB27)</f>
        <v>-18.978182927074684</v>
      </c>
      <c r="AC29" s="7"/>
      <c r="AD29" s="7">
        <f>-Tringle!$D$12+DEGREES(AD27)</f>
        <v>18.55560454567053</v>
      </c>
      <c r="AE29" s="27"/>
      <c r="AF29" s="26">
        <f>-Tringle!$D$12+DEGREES(AF27)</f>
        <v>-12.554273264126094</v>
      </c>
      <c r="AG29" s="7"/>
      <c r="AH29" s="7">
        <f>-Tringle!$D$12+DEGREES(AH27)</f>
        <v>12.355196799018419</v>
      </c>
      <c r="AI29" s="27"/>
      <c r="AJ29" s="26">
        <f>-Tringle!$D$12+DEGREES(AJ27)</f>
        <v>-6.236719153222354</v>
      </c>
      <c r="AK29" s="7"/>
      <c r="AL29" s="7">
        <f>-Tringle!$D$12+DEGREES(AL27)</f>
        <v>6.185347434081156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36.05453964850483</v>
      </c>
      <c r="E30" s="2"/>
      <c r="F30" s="2"/>
      <c r="G30" s="2" t="s">
        <v>42</v>
      </c>
      <c r="H30" s="2"/>
      <c r="I30" s="2">
        <f>SQRT((D9-I28)^2+(E9-J28)^2)</f>
        <v>36.43905381273862</v>
      </c>
      <c r="J30" s="2"/>
      <c r="K30" s="2"/>
      <c r="L30" s="28">
        <f>SQRT((L9-L28)^2+(M9-M28)^2)</f>
        <v>31.400806469318894</v>
      </c>
      <c r="M30" s="29"/>
      <c r="N30" s="29">
        <f>SQRT((L9-N28)^2+(M9-O28)^2)</f>
        <v>30.971351621615185</v>
      </c>
      <c r="O30" s="30"/>
      <c r="P30" s="28">
        <f>SQRT((P9-P28)^2+(Q9-Q28)^2)</f>
        <v>26.786657784317786</v>
      </c>
      <c r="Q30" s="29"/>
      <c r="R30" s="29">
        <f>SQRT((P9-R28)^2+(Q9-S28)^2)</f>
        <v>26.137350333236423</v>
      </c>
      <c r="S30" s="30"/>
      <c r="T30" s="28">
        <f>SQRT((T9-T28)^2+(U9-U28)^2)</f>
        <v>22.211273021625914</v>
      </c>
      <c r="U30" s="29"/>
      <c r="V30" s="29">
        <f>SQRT((T9-V28)^2+(U9-W28)^2)</f>
        <v>21.59967319737763</v>
      </c>
      <c r="W30" s="30"/>
      <c r="X30" s="28">
        <f>SQRT((X9-X28)^2+(Y9-Y28)^2)</f>
        <v>17.677543908586188</v>
      </c>
      <c r="Y30" s="29"/>
      <c r="Z30" s="29">
        <f>SQRT((X9-Z28)^2+(Y9-AA28)^2)</f>
        <v>17.212438427474815</v>
      </c>
      <c r="AA30" s="30"/>
      <c r="AB30" s="28">
        <f>SQRT((AB9-AB28)^2+(AC9-AC28)^2)</f>
        <v>13.18878592602119</v>
      </c>
      <c r="AC30" s="29"/>
      <c r="AD30" s="29">
        <f>SQRT((AB9-AD28)^2+(AC9-AE28)^2)</f>
        <v>12.897718237015981</v>
      </c>
      <c r="AE30" s="30"/>
      <c r="AF30" s="28">
        <f>SQRT((AF9-AF28)^2+(AG9-AG28)^2)</f>
        <v>8.747013691435289</v>
      </c>
      <c r="AG30" s="29"/>
      <c r="AH30" s="29">
        <f>SQRT((AF9-AH28)^2+(AG9-AI28)^2)</f>
        <v>8.608852211269053</v>
      </c>
      <c r="AI30" s="30"/>
      <c r="AJ30" s="28">
        <f>SQRT((AJ9-AJ28)^2+(AK9-AK28)^2)</f>
        <v>4.351902108954737</v>
      </c>
      <c r="AK30" s="29"/>
      <c r="AL30" s="29">
        <f>SQRT((AJ9-AL28)^2+(AK9-AM28)^2)</f>
        <v>4.316090551690938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-53.57486491423121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16.31370849898476</v>
      </c>
      <c r="N35" s="7"/>
      <c r="O35" s="27"/>
      <c r="P35" s="26">
        <f>Tringle!$D$5+Tringle!$D$10</f>
        <v>96</v>
      </c>
      <c r="Q35" s="7">
        <f>Tringle!$D$6+$I$6*SQRT(Tringle!$D$9^2-Tringle!$D$10^2)</f>
        <v>16.31370849898476</v>
      </c>
      <c r="R35" s="7"/>
      <c r="S35" s="27"/>
      <c r="T35" s="26">
        <f>Tringle!$D$5+Tringle!$D$10</f>
        <v>96</v>
      </c>
      <c r="U35" s="7">
        <f>Tringle!$D$6+$I$6*SQRT(Tringle!$D$9^2-Tringle!$D$10^2)</f>
        <v>16.31370849898476</v>
      </c>
      <c r="V35" s="7"/>
      <c r="W35" s="27"/>
      <c r="X35" s="26">
        <f>Tringle!$D$5+Tringle!$D$10</f>
        <v>96</v>
      </c>
      <c r="Y35" s="7">
        <f>Tringle!$D$6+$I$6*SQRT(Tringle!$D$9^2-Tringle!$D$10^2)</f>
        <v>16.31370849898476</v>
      </c>
      <c r="Z35" s="7"/>
      <c r="AA35" s="27"/>
      <c r="AB35" s="26">
        <f>Tringle!$D$5+Tringle!$D$10</f>
        <v>96</v>
      </c>
      <c r="AC35" s="7">
        <f>Tringle!$D$6+$I$6*SQRT(Tringle!$D$9^2-Tringle!$D$10^2)</f>
        <v>16.31370849898476</v>
      </c>
      <c r="AD35" s="7"/>
      <c r="AE35" s="27"/>
      <c r="AF35" s="26">
        <f>Tringle!$D$5+Tringle!$D$10</f>
        <v>96</v>
      </c>
      <c r="AG35" s="7">
        <f>Tringle!$D$6+$I$6*SQRT(Tringle!$D$9^2-Tringle!$D$10^2)</f>
        <v>16.31370849898476</v>
      </c>
      <c r="AH35" s="7"/>
      <c r="AI35" s="27"/>
      <c r="AJ35" s="26">
        <f>Tringle!$D$5+Tringle!$D$10</f>
        <v>96</v>
      </c>
      <c r="AK35" s="7">
        <f>Tringle!$D$6+$I$6*SQRT(Tringle!$D$9^2-Tringle!$D$10^2)</f>
        <v>16.31370849898476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-46.2215487892349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16.31370849898476</v>
      </c>
      <c r="E37" s="2"/>
      <c r="F37" s="33" t="s">
        <v>162</v>
      </c>
      <c r="G37" s="7">
        <f>-Tringle!$D13*6/8</f>
        <v>-30</v>
      </c>
      <c r="H37" s="10">
        <f>IF(I6=-1,R29,P29)</f>
        <v>-39.12479320228244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-32.23891468088433</v>
      </c>
      <c r="I38" s="2"/>
      <c r="J38" s="2">
        <f>IF(J39=TRUE,1,0)</f>
        <v>0</v>
      </c>
      <c r="K38" s="2"/>
      <c r="L38" s="26">
        <f>PI()/2-ASIN(Tringle!$D$10/Tringle!$D$9)-$I$6*RADIANS(Tringle!$D$12)</f>
        <v>1.9106332362490184</v>
      </c>
      <c r="M38" s="7"/>
      <c r="N38" s="7"/>
      <c r="O38" s="27"/>
      <c r="P38" s="26">
        <f>PI()/2-ASIN(Tringle!$D$10/Tringle!$D$9)-$I$6*RADIANS(Tringle!$D$12)</f>
        <v>1.9106332362490184</v>
      </c>
      <c r="Q38" s="7"/>
      <c r="R38" s="7"/>
      <c r="S38" s="27"/>
      <c r="T38" s="26">
        <f>PI()/2-ASIN(Tringle!$D$10/Tringle!$D$9)-$I$6*RADIANS(Tringle!$D$12)</f>
        <v>1.9106332362490184</v>
      </c>
      <c r="U38" s="7"/>
      <c r="V38" s="7"/>
      <c r="W38" s="27"/>
      <c r="X38" s="26">
        <f>PI()/2-ASIN(Tringle!$D$10/Tringle!$D$9)-$I$6*RADIANS(Tringle!$D$12)</f>
        <v>1.9106332362490184</v>
      </c>
      <c r="Y38" s="7"/>
      <c r="Z38" s="7"/>
      <c r="AA38" s="27"/>
      <c r="AB38" s="26">
        <f>PI()/2-ASIN(Tringle!$D$10/Tringle!$D$9)-$I$6*RADIANS(Tringle!$D$12)</f>
        <v>1.9106332362490184</v>
      </c>
      <c r="AC38" s="7"/>
      <c r="AD38" s="7"/>
      <c r="AE38" s="27"/>
      <c r="AF38" s="26">
        <f>PI()/2-ASIN(Tringle!$D$10/Tringle!$D$9)-$I$6*RADIANS(Tringle!$D$12)</f>
        <v>1.9106332362490184</v>
      </c>
      <c r="AG38" s="7"/>
      <c r="AH38" s="7"/>
      <c r="AI38" s="27"/>
      <c r="AJ38" s="26">
        <f>PI()/2-ASIN(Tringle!$D$10/Tringle!$D$9)-$I$6*RADIANS(Tringle!$D$12)</f>
        <v>1.9106332362490184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-25.531941896754038</v>
      </c>
      <c r="I39" s="2"/>
      <c r="J39" s="2" t="b">
        <v>0</v>
      </c>
      <c r="K39" s="2"/>
      <c r="L39" s="26">
        <f>SQRT((L33-L35)^2+(M33-M35)^2)</f>
        <v>98.03397484857004</v>
      </c>
      <c r="M39" s="7"/>
      <c r="N39" s="7"/>
      <c r="O39" s="27"/>
      <c r="P39" s="26">
        <f>SQRT((P33-P35)^2+(Q33-Q35)^2)</f>
        <v>98.03397484857004</v>
      </c>
      <c r="Q39" s="7"/>
      <c r="R39" s="7"/>
      <c r="S39" s="27"/>
      <c r="T39" s="26">
        <f>SQRT((T33-T35)^2+(U33-U35)^2)</f>
        <v>98.03397484857004</v>
      </c>
      <c r="U39" s="7"/>
      <c r="V39" s="7"/>
      <c r="W39" s="27"/>
      <c r="X39" s="26">
        <f>SQRT((X33-X35)^2+(Y33-Y35)^2)</f>
        <v>98.03397484857004</v>
      </c>
      <c r="Y39" s="7"/>
      <c r="Z39" s="7"/>
      <c r="AA39" s="27"/>
      <c r="AB39" s="26">
        <f>SQRT((AB33-AB35)^2+(AC33-AC35)^2)</f>
        <v>98.03397484857004</v>
      </c>
      <c r="AC39" s="7"/>
      <c r="AD39" s="7"/>
      <c r="AE39" s="27"/>
      <c r="AF39" s="26">
        <f>SQRT((AF33-AF35)^2+(AG33-AG35)^2)</f>
        <v>98.03397484857004</v>
      </c>
      <c r="AG39" s="7"/>
      <c r="AH39" s="7"/>
      <c r="AI39" s="27"/>
      <c r="AJ39" s="26">
        <f>SQRT((AJ33-AJ35)^2+(AK33-AK35)^2)</f>
        <v>98.03397484857004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-18.978182927074684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-12.554273264126094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106.72829994330449</v>
      </c>
      <c r="D42" s="51">
        <f>E26</f>
        <v>14.936296084202041</v>
      </c>
      <c r="E42" s="2"/>
      <c r="F42" s="33" t="s">
        <v>167</v>
      </c>
      <c r="G42" s="7">
        <f>-Tringle!$D13*1/8</f>
        <v>-5</v>
      </c>
      <c r="H42" s="10">
        <f>IF(I6=-1,AL29,AJ29)</f>
        <v>-6.236719153222354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123.75087713417992</v>
      </c>
      <c r="D44" s="51">
        <f>E28</f>
        <v>-27.185335719191897</v>
      </c>
      <c r="E44" s="2"/>
      <c r="F44" s="33" t="s">
        <v>169</v>
      </c>
      <c r="G44" s="7">
        <f>Tringle!$D13*1/8</f>
        <v>5</v>
      </c>
      <c r="H44" s="10">
        <f>IF(I6=-1,L56,N56)</f>
        <v>6.185347434081156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12.355196799018419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18.55560454567053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88.48445979709166</v>
      </c>
      <c r="D47" s="51">
        <f>J26</f>
        <v>8.375253151276493</v>
      </c>
      <c r="E47" s="2"/>
      <c r="F47" s="33" t="s">
        <v>172</v>
      </c>
      <c r="G47" s="7">
        <f>Tringle!$D13*4/8</f>
        <v>20</v>
      </c>
      <c r="H47" s="10">
        <f>IF(I6=-1,X56,Z56)</f>
        <v>24.849298303205437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31.328047536700254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123.40244196540424</v>
      </c>
      <c r="D49" s="53">
        <f>J28</f>
        <v>37.43957012748299</v>
      </c>
      <c r="E49" s="2"/>
      <c r="F49" s="33" t="s">
        <v>174</v>
      </c>
      <c r="G49" s="7">
        <f>Tringle!$D13*6/8</f>
        <v>30</v>
      </c>
      <c r="H49" s="10">
        <f>IF(I6=-1,AF56,AH56)</f>
        <v>38.13924817103394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45.55355253278994</v>
      </c>
      <c r="I50" s="2"/>
      <c r="J50" s="2"/>
      <c r="K50" s="2"/>
      <c r="L50" s="26"/>
      <c r="M50" s="7">
        <f>ACOS((Tringle!$D$9^2+M48^2-L39^2)/(2*Tringle!$D$9*M48))</f>
        <v>1.5395499441134022</v>
      </c>
      <c r="N50" s="7"/>
      <c r="O50" s="27">
        <f>ACOS((Tringle!$D$9^2+O48^2-L39^2)/(2*Tringle!$D$9*O48))</f>
        <v>1.3227861842224142</v>
      </c>
      <c r="P50" s="26"/>
      <c r="Q50" s="7">
        <f>ACOS((Tringle!$D$9^2+Q48^2-P39^2)/(2*Tringle!$D$9*Q48))</f>
        <v>1.648017995781685</v>
      </c>
      <c r="R50" s="7"/>
      <c r="S50" s="27">
        <f>ACOS((Tringle!$D$9^2+S48^2-P39^2)/(2*Tringle!$D$9*S48))</f>
        <v>1.2134407393909876</v>
      </c>
      <c r="T50" s="26"/>
      <c r="U50" s="7">
        <f>ACOS((Tringle!$D$9^2+U48^2-T39^2)/(2*Tringle!$D$9*U48))</f>
        <v>1.7571122916547761</v>
      </c>
      <c r="V50" s="7"/>
      <c r="W50" s="27">
        <f>ACOS((Tringle!$D$9^2+W48^2-T39^2)/(2*Tringle!$D$9*W48))</f>
        <v>1.1025099939482599</v>
      </c>
      <c r="X50" s="26"/>
      <c r="Y50" s="7">
        <f>ACOS((Tringle!$D$9^2+Y48^2-X39^2)/(2*Tringle!$D$9*Y48))</f>
        <v>1.8672188142260413</v>
      </c>
      <c r="Z50" s="7"/>
      <c r="AA50" s="27">
        <f>ACOS((Tringle!$D$9^2+AA48^2-X39^2)/(2*Tringle!$D$9*AA48))</f>
        <v>0.9889562420808532</v>
      </c>
      <c r="AB50" s="26"/>
      <c r="AC50" s="7">
        <f>ACOS((Tringle!$D$9^2+AC48^2-AB39^2)/(2*Tringle!$D$9*AC48))</f>
        <v>1.9787332004615363</v>
      </c>
      <c r="AD50" s="7"/>
      <c r="AE50" s="27">
        <f>ACOS((Tringle!$D$9^2+AE48^2-AB39^2)/(2*Tringle!$D$9*AE48))</f>
        <v>0.871237469797401</v>
      </c>
      <c r="AF50" s="26"/>
      <c r="AG50" s="7">
        <f>ACOS((Tringle!$D$9^2+AG48^2-AF39^2)/(2*Tringle!$D$9*AG48))</f>
        <v>2.092105646901709</v>
      </c>
      <c r="AH50" s="7"/>
      <c r="AI50" s="27">
        <f>ACOS((Tringle!$D$9^2+AI48^2-AF39^2)/(2*Tringle!$D$9*AI48))</f>
        <v>0.7468424691246969</v>
      </c>
      <c r="AJ50" s="26"/>
      <c r="AK50" s="7">
        <f>ACOS((Tringle!$D$9^2+AK48^2-AJ39^2)/(2*Tringle!$D$9*AK48))</f>
        <v>2.2079118774430317</v>
      </c>
      <c r="AL50" s="7"/>
      <c r="AM50" s="27">
        <f>ACOS((Tringle!$D$9^2+AM48^2-AJ39^2)/(2*Tringle!$D$9*AM48))</f>
        <v>0.6111097481163759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-27.185335719191897</v>
      </c>
      <c r="E51" s="2"/>
      <c r="F51" s="34" t="s">
        <v>176</v>
      </c>
      <c r="G51" s="9">
        <f>Tringle!$D13</f>
        <v>40</v>
      </c>
      <c r="H51" s="11">
        <f>Tringle!$D$18</f>
        <v>54.192697030105286</v>
      </c>
      <c r="I51" s="2"/>
      <c r="J51" s="2"/>
      <c r="K51" s="2"/>
      <c r="L51" s="26"/>
      <c r="M51" s="7">
        <f>$I$6*PI()-$I$6*M50-$I$5*M49</f>
        <v>1.8017819525030956</v>
      </c>
      <c r="N51" s="7"/>
      <c r="O51" s="27">
        <f>$I$6*PI()-$I$6*O50-$I$5*O49</f>
        <v>2.0185879143535175</v>
      </c>
      <c r="P51" s="26"/>
      <c r="Q51" s="7">
        <f>$I$6*PI()-$I$6*Q50-$I$5*Q49</f>
        <v>1.6915198325949223</v>
      </c>
      <c r="R51" s="7"/>
      <c r="S51" s="27">
        <f>$I$6*PI()-$I$6*S50-$I$5*S49</f>
        <v>2.126272100123754</v>
      </c>
      <c r="T51" s="26"/>
      <c r="U51" s="7">
        <f>$I$6*PI()-$I$6*U50-$I$5*U49</f>
        <v>1.5794014581257902</v>
      </c>
      <c r="V51" s="7"/>
      <c r="W51" s="27">
        <f>$I$6*PI()-$I$6*W50-$I$5*W49</f>
        <v>2.2344896302689956</v>
      </c>
      <c r="X51" s="26"/>
      <c r="Y51" s="7">
        <f>$I$6*PI()-$I$6*Y50-$I$5*Y49</f>
        <v>1.4650167857227743</v>
      </c>
      <c r="Z51" s="7"/>
      <c r="AA51" s="27">
        <f>$I$6*PI()-$I$6*AA50-$I$5*AA49</f>
        <v>2.3443353084501934</v>
      </c>
      <c r="AB51" s="26"/>
      <c r="AC51" s="7">
        <f>$I$6*PI()-$I$6*AC50-$I$5*AC49</f>
        <v>1.3479580277980499</v>
      </c>
      <c r="AD51" s="7"/>
      <c r="AE51" s="27">
        <f>$I$6*PI()-$I$6*AE50-$I$5*AE49</f>
        <v>2.457410813985737</v>
      </c>
      <c r="AF51" s="26"/>
      <c r="AG51" s="7">
        <f>$I$6*PI()-$I$6*AG50-$I$5*AG49</f>
        <v>1.227776775707294</v>
      </c>
      <c r="AH51" s="7"/>
      <c r="AI51" s="27">
        <f>$I$6*PI()-$I$6*AI50-$I$5*AI49</f>
        <v>2.576288691068786</v>
      </c>
      <c r="AJ51" s="26"/>
      <c r="AK51" s="7">
        <f>$I$6*PI()-$I$6*AK50-$I$5*AK49</f>
        <v>1.1039150245056708</v>
      </c>
      <c r="AL51" s="7"/>
      <c r="AM51" s="27">
        <f>$I$6*PI()-$I$6*AM50-$I$5*AM49</f>
        <v>2.705692713926405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37.43957012748299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187.19785063741494</v>
      </c>
      <c r="D53" s="57">
        <f>C52/2.5/2</f>
        <v>28</v>
      </c>
      <c r="L53" s="26">
        <f>L34+Tringle!$D$9*COS(M51)</f>
        <v>97.25275500070425</v>
      </c>
      <c r="M53" s="7">
        <f>M34+Tringle!$D$9*SIN(M51)</f>
        <v>16.68129465914821</v>
      </c>
      <c r="N53" s="7">
        <f>L34+Tringle!$D$9*COS(O51)</f>
        <v>94.80428900245163</v>
      </c>
      <c r="O53" s="27">
        <f>M34+Tringle!$D$9*SIN(O51)</f>
        <v>15.81686586909327</v>
      </c>
      <c r="P53" s="26">
        <f>P34+Tringle!$D$9*COS(Q51)</f>
        <v>98.55483425559646</v>
      </c>
      <c r="Q53" s="7">
        <f>Q34+Tringle!$D$9*SIN(Q51)</f>
        <v>16.91266116244404</v>
      </c>
      <c r="R53" s="7">
        <f>P34+Tringle!$D$9*COS(S51)</f>
        <v>93.6718287938776</v>
      </c>
      <c r="S53" s="27">
        <f>Q34+Tringle!$D$9*SIN(S51)</f>
        <v>15.195795662232708</v>
      </c>
      <c r="T53" s="26">
        <f>T34+Tringle!$D$9*COS(U51)</f>
        <v>99.89673969841499</v>
      </c>
      <c r="U53" s="7">
        <f>U34+Tringle!$D$9*SIN(U51)</f>
        <v>16.999555713030237</v>
      </c>
      <c r="V53" s="7">
        <f>T34+Tringle!$D$9*COS(W51)</f>
        <v>92.60763586250945</v>
      </c>
      <c r="W53" s="27">
        <f>U34+Tringle!$D$9*SIN(W51)</f>
        <v>14.45266906533513</v>
      </c>
      <c r="X53" s="26">
        <f>X34+Tringle!$D$9*COS(Y51)</f>
        <v>101.26698861644937</v>
      </c>
      <c r="Y53" s="7">
        <f>Y34+Tringle!$D$9*SIN(Y51)</f>
        <v>16.93292670914339</v>
      </c>
      <c r="Z53" s="7">
        <f>X34+Tringle!$D$9*COS(AA51)</f>
        <v>91.61594143979926</v>
      </c>
      <c r="AA53" s="27">
        <f>Y34+Tringle!$D$9*SIN(AA51)</f>
        <v>13.585310830664469</v>
      </c>
      <c r="AB53" s="26">
        <f>AB34+Tringle!$D$9*COS(AC51)</f>
        <v>102.65198354909687</v>
      </c>
      <c r="AC53" s="7">
        <f>AC34+Tringle!$D$9*SIN(AC51)</f>
        <v>16.703289420300585</v>
      </c>
      <c r="AD53" s="7">
        <f>AB34+Tringle!$D$9*COS(AE51)</f>
        <v>90.70076300988391</v>
      </c>
      <c r="AE53" s="27">
        <f>AC34+Tringle!$D$9*SIN(AE51)</f>
        <v>12.584470410098298</v>
      </c>
      <c r="AF53" s="26">
        <f>AF34+Tringle!$D$9*COS(AG51)</f>
        <v>104.03598716051165</v>
      </c>
      <c r="AG53" s="7">
        <f>AG34+Tringle!$D$9*SIN(AG51)</f>
        <v>16.30092065453895</v>
      </c>
      <c r="AH53" s="7">
        <f>AF34+Tringle!$D$9*COS(AI51)</f>
        <v>89.86689021918988</v>
      </c>
      <c r="AI53" s="27">
        <f>AG34+Tringle!$D$9*SIN(AI51)</f>
        <v>11.428070174636417</v>
      </c>
      <c r="AJ53" s="26">
        <f>AJ34+Tringle!$D$9*COS(AK51)</f>
        <v>105.40124266552549</v>
      </c>
      <c r="AK53" s="7">
        <f>AK34+Tringle!$D$9*SIN(AK51)</f>
        <v>15.715716386136169</v>
      </c>
      <c r="AL53" s="7">
        <f>AJ34+Tringle!$D$9*COS(AM51)</f>
        <v>89.1221148258079</v>
      </c>
      <c r="AM53" s="27">
        <f>AK34+Tringle!$D$9*SIN(AM51)</f>
        <v>10.066716307145255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-0.10885128374592279</v>
      </c>
      <c r="M54" s="7"/>
      <c r="N54" s="7">
        <f>O51-$I$6*L38</f>
        <v>0.1079546781044991</v>
      </c>
      <c r="O54" s="27"/>
      <c r="P54" s="26">
        <f>Q51-$I$6*P38</f>
        <v>-0.21911340365409604</v>
      </c>
      <c r="Q54" s="7"/>
      <c r="R54" s="7">
        <f>S51-$I$6*P38</f>
        <v>0.21563886387473552</v>
      </c>
      <c r="S54" s="27"/>
      <c r="T54" s="26">
        <f>U51-$I$6*T38</f>
        <v>-0.3312317781232281</v>
      </c>
      <c r="U54" s="7"/>
      <c r="V54" s="7">
        <f>W51-$I$6*T38</f>
        <v>0.32385639401997723</v>
      </c>
      <c r="W54" s="27"/>
      <c r="X54" s="26">
        <f>Y51-$I$6*X38</f>
        <v>-0.4456164505262441</v>
      </c>
      <c r="Y54" s="7"/>
      <c r="Z54" s="7">
        <f>AA51-$I$6*X38</f>
        <v>0.43370207220117507</v>
      </c>
      <c r="AA54" s="27"/>
      <c r="AB54" s="26">
        <f>AC51-$I$6*AB38</f>
        <v>-0.5626752084509685</v>
      </c>
      <c r="AC54" s="7"/>
      <c r="AD54" s="7">
        <f>AE51-$I$6*AB38</f>
        <v>0.5467775777367185</v>
      </c>
      <c r="AE54" s="27"/>
      <c r="AF54" s="26">
        <f>AG51-$I$6*AF38</f>
        <v>-0.6828564605417244</v>
      </c>
      <c r="AG54" s="7"/>
      <c r="AH54" s="7">
        <f>AI51-$I$6*AF38</f>
        <v>0.6656554548197677</v>
      </c>
      <c r="AI54" s="27"/>
      <c r="AJ54" s="26">
        <f>AK51-$I$6*AJ38</f>
        <v>-0.8067182117433476</v>
      </c>
      <c r="AK54" s="7"/>
      <c r="AL54" s="7">
        <f>AM51-$I$6*AJ38</f>
        <v>0.7950594776773867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139.76326185042595</v>
      </c>
      <c r="M55" s="7">
        <f>M34+Tringle!$D$11*SIN(L54)</f>
        <v>0.6545417946480097</v>
      </c>
      <c r="N55" s="7">
        <f>L34+Tringle!$D$11*COS(N54)</f>
        <v>139.76714202937006</v>
      </c>
      <c r="O55" s="27">
        <f>M34+Tringle!$D$11*SIN(N54)</f>
        <v>9.30980449857182</v>
      </c>
      <c r="P55" s="26">
        <f>P34+Tringle!$D$11*COS(P54)</f>
        <v>139.04362189352304</v>
      </c>
      <c r="Q55" s="7">
        <f>Q34+Tringle!$D$11*SIN(P54)</f>
        <v>-3.694572412465604</v>
      </c>
      <c r="R55" s="7">
        <f>P34+Tringle!$D$11*COS(R54)</f>
        <v>139.0735957950566</v>
      </c>
      <c r="S55" s="27">
        <f>Q34+Tringle!$D$11*SIN(R54)</f>
        <v>13.558861585779692</v>
      </c>
      <c r="T55" s="26">
        <f>T34+Tringle!$D$11*COS(T54)</f>
        <v>137.82569907246983</v>
      </c>
      <c r="U55" s="7">
        <f>U34+Tringle!$D$11*SIN(T54)</f>
        <v>-8.008323861241927</v>
      </c>
      <c r="V55" s="7">
        <f>T34+Tringle!$D$11*COS(V54)</f>
        <v>137.92061080348182</v>
      </c>
      <c r="W55" s="27">
        <f>U34+Tringle!$D$11*SIN(V54)</f>
        <v>17.728993530160118</v>
      </c>
      <c r="X55" s="26">
        <f>X34+Tringle!$D$11*COS(X54)</f>
        <v>136.09380551700008</v>
      </c>
      <c r="Y55" s="7">
        <f>Y34+Tringle!$D$11*SIN(X54)</f>
        <v>-12.240568531837155</v>
      </c>
      <c r="Z55" s="7">
        <f>X34+Tringle!$D$11*COS(Z54)</f>
        <v>136.29664954225484</v>
      </c>
      <c r="AA55" s="27">
        <f>Y34+Tringle!$D$11*SIN(Z54)</f>
        <v>21.809319796075343</v>
      </c>
      <c r="AB55" s="26">
        <f>AB34+Tringle!$D$11*COS(AB54)</f>
        <v>133.83324188448492</v>
      </c>
      <c r="AC55" s="7">
        <f>AC34+Tringle!$D$11*SIN(AB54)</f>
        <v>-16.338035138829817</v>
      </c>
      <c r="AD55" s="7">
        <f>AB34+Tringle!$D$11*COS(AD54)</f>
        <v>134.1681764720811</v>
      </c>
      <c r="AE55" s="27">
        <f>AC34+Tringle!$D$11*SIN(AD54)</f>
        <v>25.79749303576575</v>
      </c>
      <c r="AF55" s="26">
        <f>AF34+Tringle!$D$11*COS(AF54)</f>
        <v>131.0309370593231</v>
      </c>
      <c r="AG55" s="7">
        <f>AG34+Tringle!$D$11*SIN(AF54)</f>
        <v>-20.2404624605083</v>
      </c>
      <c r="AH55" s="7">
        <f>AF34+Tringle!$D$11*COS(AH54)</f>
        <v>131.46048646947082</v>
      </c>
      <c r="AI55" s="27">
        <f>AG34+Tringle!$D$11*SIN(AH54)</f>
        <v>29.702991541597616</v>
      </c>
      <c r="AJ55" s="26">
        <f>AJ34+Tringle!$D$11*COS(AJ54)</f>
        <v>127.67486691345476</v>
      </c>
      <c r="AK55" s="7">
        <f>AK34+Tringle!$D$11*SIN(AJ54)</f>
        <v>-23.88081960960539</v>
      </c>
      <c r="AL55" s="7">
        <f>AJ34+Tringle!$D$11*COS(AL54)</f>
        <v>128.00969223412844</v>
      </c>
      <c r="AM55" s="27">
        <f>AK34+Tringle!$D$11*SIN(AL54)</f>
        <v>33.55621019934903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-6.236719153222354</v>
      </c>
      <c r="M56" s="7"/>
      <c r="N56" s="7">
        <f>-Tringle!$D$12+DEGREES(N54)</f>
        <v>6.185347434081156</v>
      </c>
      <c r="O56" s="27"/>
      <c r="P56" s="26">
        <f>-Tringle!$D$12+DEGREES(P54)</f>
        <v>-12.554273264126094</v>
      </c>
      <c r="Q56" s="7"/>
      <c r="R56" s="7">
        <f>-Tringle!$D$12+DEGREES(R54)</f>
        <v>12.355196799018419</v>
      </c>
      <c r="S56" s="27"/>
      <c r="T56" s="26">
        <f>-Tringle!$D$12+DEGREES(T54)</f>
        <v>-18.978182927074684</v>
      </c>
      <c r="U56" s="7"/>
      <c r="V56" s="7">
        <f>-Tringle!$D$12+DEGREES(V54)</f>
        <v>18.55560454567053</v>
      </c>
      <c r="W56" s="27"/>
      <c r="X56" s="26">
        <f>-Tringle!$D$12+DEGREES(X54)</f>
        <v>-25.531941896754038</v>
      </c>
      <c r="Y56" s="7"/>
      <c r="Z56" s="7">
        <f>-Tringle!$D$12+DEGREES(Z54)</f>
        <v>24.849298303205437</v>
      </c>
      <c r="AA56" s="27"/>
      <c r="AB56" s="26">
        <f>-Tringle!$D$12+DEGREES(AB54)</f>
        <v>-32.23891468088433</v>
      </c>
      <c r="AC56" s="7"/>
      <c r="AD56" s="7">
        <f>-Tringle!$D$12+DEGREES(AD54)</f>
        <v>31.328047536700254</v>
      </c>
      <c r="AE56" s="27"/>
      <c r="AF56" s="26">
        <f>-Tringle!$D$12+DEGREES(AF54)</f>
        <v>-39.12479320228244</v>
      </c>
      <c r="AG56" s="7"/>
      <c r="AH56" s="7">
        <f>-Tringle!$D$12+DEGREES(AH54)</f>
        <v>38.13924817103394</v>
      </c>
      <c r="AI56" s="27"/>
      <c r="AJ56" s="26">
        <f>-Tringle!$D$12+DEGREES(AJ54)</f>
        <v>-46.2215487892349</v>
      </c>
      <c r="AK56" s="7"/>
      <c r="AL56" s="7">
        <f>-Tringle!$D$12+DEGREES(AL54)</f>
        <v>45.55355253278994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4.351902108954737</v>
      </c>
      <c r="M57" s="29"/>
      <c r="N57" s="29">
        <f>SQRT((L36-N55)^2+(M36-O55)^2)</f>
        <v>4.316090551690938</v>
      </c>
      <c r="O57" s="30"/>
      <c r="P57" s="28">
        <f>SQRT((P36-P55)^2+(Q36-Q55)^2)</f>
        <v>8.747013691435289</v>
      </c>
      <c r="Q57" s="29"/>
      <c r="R57" s="29">
        <f>SQRT((P36-R55)^2+(Q36-S55)^2)</f>
        <v>8.608852211269053</v>
      </c>
      <c r="S57" s="30"/>
      <c r="T57" s="28">
        <f>SQRT((T36-T55)^2+(U36-U55)^2)</f>
        <v>13.18878592602119</v>
      </c>
      <c r="U57" s="29"/>
      <c r="V57" s="29">
        <f>SQRT((T36-V55)^2+(U36-W55)^2)</f>
        <v>12.897718237015981</v>
      </c>
      <c r="W57" s="30"/>
      <c r="X57" s="28">
        <f>SQRT((X36-X55)^2+(Y36-Y55)^2)</f>
        <v>17.677543908586188</v>
      </c>
      <c r="Y57" s="29"/>
      <c r="Z57" s="29">
        <f>SQRT((X36-Z55)^2+(Y36-AA55)^2)</f>
        <v>17.212438427474815</v>
      </c>
      <c r="AA57" s="30"/>
      <c r="AB57" s="28">
        <f>SQRT((AB36-AB55)^2+(AC36-AC55)^2)</f>
        <v>22.211273021625914</v>
      </c>
      <c r="AC57" s="29"/>
      <c r="AD57" s="29">
        <f>SQRT((AB36-AD55)^2+(AC36-AE55)^2)</f>
        <v>21.59967319737763</v>
      </c>
      <c r="AE57" s="30"/>
      <c r="AF57" s="28">
        <f>SQRT((AF36-AF55)^2+(AG36-AG55)^2)</f>
        <v>26.786657784317786</v>
      </c>
      <c r="AG57" s="29"/>
      <c r="AH57" s="29">
        <f>SQRT((AF36-AH55)^2+(AG36-AI55)^2)</f>
        <v>26.137350333236423</v>
      </c>
      <c r="AI57" s="30"/>
      <c r="AJ57" s="28">
        <f>SQRT((AJ36-AJ55)^2+(AK36-AK55)^2)</f>
        <v>31.400806469318894</v>
      </c>
      <c r="AK57" s="29"/>
      <c r="AL57" s="29">
        <f>SQRT((AJ36-AL55)^2+(AK36-AM55)^2)</f>
        <v>30.971351621615185</v>
      </c>
      <c r="AM57" s="30"/>
      <c r="AN57" s="7"/>
      <c r="AO57" s="7"/>
      <c r="AP57" s="7"/>
      <c r="AQ57" s="7"/>
    </row>
  </sheetData>
  <sheetProtection/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9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26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Laurent</cp:lastModifiedBy>
  <dcterms:created xsi:type="dcterms:W3CDTF">2007-12-30T16:46:08Z</dcterms:created>
  <dcterms:modified xsi:type="dcterms:W3CDTF">2020-02-23T22:56:02Z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